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84588\Desktop\元号、約款対応\4品質管理に基づく様式\4品質管理に基づく様式\"/>
    </mc:Choice>
  </mc:AlternateContent>
  <bookViews>
    <workbookView xWindow="0" yWindow="0" windowWidth="20490" windowHeight="7560"/>
  </bookViews>
  <sheets>
    <sheet name="成績書" sheetId="1" r:id="rId1"/>
  </sheets>
  <definedNames>
    <definedName name="_xlnm.Print_Area" localSheetId="0">成績書!$A$1:$L$61</definedName>
    <definedName name="係数">成績書!$K$20:$L$41</definedName>
  </definedNames>
  <calcPr calcId="162913"/>
</workbook>
</file>

<file path=xl/calcChain.xml><?xml version="1.0" encoding="utf-8"?>
<calcChain xmlns="http://schemas.openxmlformats.org/spreadsheetml/2006/main">
  <c r="C21" i="1" l="1"/>
  <c r="D21" i="1"/>
  <c r="E21" i="1"/>
  <c r="C22" i="1"/>
  <c r="D22" i="1"/>
  <c r="E22" i="1"/>
  <c r="C23" i="1"/>
  <c r="D23" i="1"/>
  <c r="E23" i="1"/>
  <c r="F23" i="1"/>
  <c r="C24" i="1"/>
  <c r="D24" i="1"/>
  <c r="E24" i="1"/>
  <c r="F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G53" i="1"/>
  <c r="G54" i="1" s="1"/>
  <c r="B60" i="1" s="1"/>
  <c r="H57" i="1"/>
  <c r="E60" i="1" s="1"/>
  <c r="G60" i="1" l="1"/>
</calcChain>
</file>

<file path=xl/sharedStrings.xml><?xml version="1.0" encoding="utf-8"?>
<sst xmlns="http://schemas.openxmlformats.org/spreadsheetml/2006/main" count="92" uniqueCount="83">
  <si>
    <t>コンクリートの種類</t>
    <rPh sb="7" eb="9">
      <t>シュルイ</t>
    </rPh>
    <phoneticPr fontId="1"/>
  </si>
  <si>
    <t>シュミットハンマー打設角度</t>
    <rPh sb="9" eb="10">
      <t>ダ</t>
    </rPh>
    <rPh sb="10" eb="11">
      <t>セツ</t>
    </rPh>
    <rPh sb="11" eb="13">
      <t>カクド</t>
    </rPh>
    <phoneticPr fontId="1"/>
  </si>
  <si>
    <t>材令</t>
    <rPh sb="0" eb="1">
      <t>ザイ</t>
    </rPh>
    <rPh sb="1" eb="2">
      <t>レイ</t>
    </rPh>
    <phoneticPr fontId="1"/>
  </si>
  <si>
    <t>日</t>
    <rPh sb="0" eb="1">
      <t>ニチ</t>
    </rPh>
    <phoneticPr fontId="1"/>
  </si>
  <si>
    <t>打　設　日</t>
    <rPh sb="0" eb="1">
      <t>ダ</t>
    </rPh>
    <rPh sb="2" eb="3">
      <t>セツビ</t>
    </rPh>
    <rPh sb="4" eb="5">
      <t>ビ</t>
    </rPh>
    <phoneticPr fontId="1"/>
  </si>
  <si>
    <t>試　験　日</t>
    <rPh sb="0" eb="5">
      <t>シケンビ</t>
    </rPh>
    <phoneticPr fontId="1"/>
  </si>
  <si>
    <t>材令別強度換算</t>
    <rPh sb="0" eb="1">
      <t>ザイ</t>
    </rPh>
    <rPh sb="1" eb="2">
      <t>レイ</t>
    </rPh>
    <rPh sb="2" eb="3">
      <t>ベツ</t>
    </rPh>
    <rPh sb="3" eb="5">
      <t>キョウド</t>
    </rPh>
    <rPh sb="5" eb="7">
      <t>カンサン</t>
    </rPh>
    <phoneticPr fontId="1"/>
  </si>
  <si>
    <t>＝</t>
    <phoneticPr fontId="1"/>
  </si>
  <si>
    <t>材令による係数</t>
    <rPh sb="0" eb="1">
      <t>ザイ</t>
    </rPh>
    <rPh sb="1" eb="2">
      <t>レイ</t>
    </rPh>
    <rPh sb="5" eb="7">
      <t>ケイスウ</t>
    </rPh>
    <phoneticPr fontId="1"/>
  </si>
  <si>
    <t>　赤字＝計算式入ってます！</t>
    <rPh sb="1" eb="3">
      <t>アカジ</t>
    </rPh>
    <rPh sb="4" eb="6">
      <t>ケイサン</t>
    </rPh>
    <rPh sb="6" eb="7">
      <t>シキ</t>
    </rPh>
    <rPh sb="7" eb="8">
      <t>ハイ</t>
    </rPh>
    <phoneticPr fontId="1"/>
  </si>
  <si>
    <t>材令日</t>
    <rPh sb="0" eb="1">
      <t>ザイ</t>
    </rPh>
    <rPh sb="1" eb="2">
      <t>レイ</t>
    </rPh>
    <rPh sb="2" eb="3">
      <t>ビ</t>
    </rPh>
    <phoneticPr fontId="1"/>
  </si>
  <si>
    <t>係数</t>
    <rPh sb="0" eb="2">
      <t>ケイスウ</t>
    </rPh>
    <phoneticPr fontId="1"/>
  </si>
  <si>
    <t>　※シュミット成績書へＶＬＯＯＫＵＰ関数にて</t>
    <rPh sb="7" eb="9">
      <t>セイセキ</t>
    </rPh>
    <rPh sb="9" eb="10">
      <t>ショ</t>
    </rPh>
    <rPh sb="18" eb="20">
      <t>カンスウ</t>
    </rPh>
    <phoneticPr fontId="1"/>
  </si>
  <si>
    <t>　　連動している表（データ）です。</t>
    <rPh sb="2" eb="4">
      <t>レンドウ</t>
    </rPh>
    <rPh sb="8" eb="9">
      <t>ヒョウ</t>
    </rPh>
    <phoneticPr fontId="1"/>
  </si>
  <si>
    <t>　　（消さないよう注意！）</t>
    <rPh sb="3" eb="4">
      <t>ケ</t>
    </rPh>
    <rPh sb="9" eb="11">
      <t>チュウイ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</si>
  <si>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</si>
  <si>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</si>
  <si>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</si>
  <si>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</si>
  <si>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</si>
  <si>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</si>
  <si>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</si>
  <si>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</si>
  <si>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</si>
  <si>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</si>
  <si>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</si>
  <si>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</si>
  <si>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</si>
  <si>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</si>
  <si>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</si>
  <si>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</si>
  <si>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</si>
  <si>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</si>
  <si>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</si>
  <si>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</si>
  <si>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N/m㎡</t>
    <phoneticPr fontId="1"/>
  </si>
  <si>
    <t>傾斜角に対する補正値（ΔＲ）</t>
    <rPh sb="0" eb="3">
      <t>ケイシャカク</t>
    </rPh>
    <rPh sb="4" eb="5">
      <t>タイ</t>
    </rPh>
    <rPh sb="7" eb="10">
      <t>ホセイチ</t>
    </rPh>
    <phoneticPr fontId="1"/>
  </si>
  <si>
    <t>-90°</t>
    <phoneticPr fontId="1"/>
  </si>
  <si>
    <t>-45°</t>
    <phoneticPr fontId="1"/>
  </si>
  <si>
    <t>+45°</t>
    <phoneticPr fontId="1"/>
  </si>
  <si>
    <t>表２</t>
    <rPh sb="0" eb="1">
      <t>ヒョウ</t>
    </rPh>
    <phoneticPr fontId="1"/>
  </si>
  <si>
    <t>反発度－圧縮強度基準換算早見表</t>
    <rPh sb="0" eb="2">
      <t>ハンパツ</t>
    </rPh>
    <rPh sb="2" eb="3">
      <t>ド</t>
    </rPh>
    <rPh sb="4" eb="6">
      <t>アッシュク</t>
    </rPh>
    <rPh sb="6" eb="8">
      <t>キョウド</t>
    </rPh>
    <rPh sb="8" eb="10">
      <t>キジュン</t>
    </rPh>
    <rPh sb="10" eb="12">
      <t>カンザン</t>
    </rPh>
    <rPh sb="12" eb="15">
      <t>ハヤミヒョウ</t>
    </rPh>
    <phoneticPr fontId="1"/>
  </si>
  <si>
    <t>ｺﾝｸﾘｰﾄの打設箇所</t>
    <rPh sb="7" eb="8">
      <t>ウ</t>
    </rPh>
    <rPh sb="8" eb="9">
      <t>セツ</t>
    </rPh>
    <rPh sb="9" eb="11">
      <t>カショ</t>
    </rPh>
    <phoneticPr fontId="1"/>
  </si>
  <si>
    <t>－</t>
    <phoneticPr fontId="1"/>
  </si>
  <si>
    <t>表１材齢補正係数</t>
    <rPh sb="0" eb="1">
      <t>ヒョウ</t>
    </rPh>
    <rPh sb="2" eb="3">
      <t>ザイ</t>
    </rPh>
    <rPh sb="3" eb="4">
      <t>ヨワイ</t>
    </rPh>
    <rPh sb="4" eb="6">
      <t>ホセイ</t>
    </rPh>
    <rPh sb="6" eb="8">
      <t>ケイスウ</t>
    </rPh>
    <phoneticPr fontId="1"/>
  </si>
  <si>
    <t>２１－８－２５Ｎ</t>
    <phoneticPr fontId="1"/>
  </si>
  <si>
    <t>N/m㎡×</t>
    <phoneticPr fontId="1"/>
  </si>
  <si>
    <t>±０°</t>
    <phoneticPr fontId="1"/>
  </si>
  <si>
    <t>硬度測定方法</t>
    <rPh sb="0" eb="2">
      <t>コウド</t>
    </rPh>
    <rPh sb="2" eb="4">
      <t>ソクテイ</t>
    </rPh>
    <rPh sb="4" eb="6">
      <t>ホウホウ</t>
    </rPh>
    <phoneticPr fontId="1"/>
  </si>
  <si>
    <t>　１か所の測定は、出隅から3㎝以上入ったところで、互いに</t>
    <rPh sb="3" eb="4">
      <t>ショ</t>
    </rPh>
    <rPh sb="5" eb="7">
      <t>ソクテイ</t>
    </rPh>
    <rPh sb="9" eb="10">
      <t>デ</t>
    </rPh>
    <rPh sb="10" eb="11">
      <t>スミ</t>
    </rPh>
    <rPh sb="15" eb="17">
      <t>イジョウ</t>
    </rPh>
    <rPh sb="17" eb="18">
      <t>ハイ</t>
    </rPh>
    <rPh sb="25" eb="26">
      <t>タガ</t>
    </rPh>
    <phoneticPr fontId="1"/>
  </si>
  <si>
    <t>　3㎝以上の間隔をもった20点について行い、全測定値の算術平均を</t>
    <rPh sb="3" eb="5">
      <t>イジョウ</t>
    </rPh>
    <rPh sb="6" eb="8">
      <t>カンカク</t>
    </rPh>
    <rPh sb="14" eb="15">
      <t>テン</t>
    </rPh>
    <rPh sb="19" eb="20">
      <t>オコナ</t>
    </rPh>
    <rPh sb="22" eb="23">
      <t>ゼン</t>
    </rPh>
    <rPh sb="23" eb="26">
      <t>ソクテイチ</t>
    </rPh>
    <rPh sb="27" eb="29">
      <t>サンジュツ</t>
    </rPh>
    <rPh sb="29" eb="31">
      <t>ヘイキン</t>
    </rPh>
    <phoneticPr fontId="1"/>
  </si>
  <si>
    <t>　その箇所の硬度Ｒとする。</t>
    <rPh sb="3" eb="5">
      <t>カショ</t>
    </rPh>
    <rPh sb="6" eb="8">
      <t>コウド</t>
    </rPh>
    <phoneticPr fontId="1"/>
  </si>
  <si>
    <r>
      <t>　　Ｒ</t>
    </r>
    <r>
      <rPr>
        <vertAlign val="subscript"/>
        <sz val="11"/>
        <rFont val="ＭＳ 明朝"/>
        <family val="1"/>
        <charset val="128"/>
      </rPr>
      <t>0</t>
    </r>
    <phoneticPr fontId="1"/>
  </si>
  <si>
    <t>＝Ｒ＋ΔＲ</t>
    <phoneticPr fontId="1"/>
  </si>
  <si>
    <t>ΔＲ</t>
    <phoneticPr fontId="1"/>
  </si>
  <si>
    <t>０</t>
    <phoneticPr fontId="1"/>
  </si>
  <si>
    <t>－１</t>
    <phoneticPr fontId="1"/>
  </si>
  <si>
    <t>＋１</t>
    <phoneticPr fontId="1"/>
  </si>
  <si>
    <t>　水平（α＝０）</t>
    <rPh sb="1" eb="3">
      <t>スイヘイ</t>
    </rPh>
    <phoneticPr fontId="1"/>
  </si>
  <si>
    <t>２～３分（＋α）</t>
    <rPh sb="3" eb="4">
      <t>フン</t>
    </rPh>
    <phoneticPr fontId="1"/>
  </si>
  <si>
    <t>２～３分（－α）</t>
    <rPh sb="3" eb="4">
      <t>フン</t>
    </rPh>
    <phoneticPr fontId="1"/>
  </si>
  <si>
    <t>区　　　　　　分</t>
    <rPh sb="0" eb="1">
      <t>ク</t>
    </rPh>
    <rPh sb="7" eb="8">
      <t>ブン</t>
    </rPh>
    <phoneticPr fontId="1"/>
  </si>
  <si>
    <t>ΔＲ：傾斜角に対する補正値</t>
    <rPh sb="3" eb="6">
      <t>ケイシャカク</t>
    </rPh>
    <rPh sb="7" eb="8">
      <t>タイ</t>
    </rPh>
    <rPh sb="10" eb="13">
      <t>ホセイチ</t>
    </rPh>
    <phoneticPr fontId="1"/>
  </si>
  <si>
    <t>補正値</t>
    <rPh sb="0" eb="3">
      <t>ホセイチ</t>
    </rPh>
    <phoneticPr fontId="1"/>
  </si>
  <si>
    <t>コンクリート表面が乾燥しているとき</t>
    <rPh sb="6" eb="8">
      <t>ヒョウメン</t>
    </rPh>
    <rPh sb="9" eb="11">
      <t>カンソウ</t>
    </rPh>
    <phoneticPr fontId="1"/>
  </si>
  <si>
    <t>測　定　部　の　状　態</t>
    <rPh sb="0" eb="1">
      <t>ハカリ</t>
    </rPh>
    <rPh sb="2" eb="3">
      <t>サダム</t>
    </rPh>
    <rPh sb="4" eb="5">
      <t>ブ</t>
    </rPh>
    <rPh sb="8" eb="9">
      <t>ジョウ</t>
    </rPh>
    <rPh sb="10" eb="11">
      <t>タイ</t>
    </rPh>
    <phoneticPr fontId="1"/>
  </si>
  <si>
    <t>コンクリートの内部が湿っているとき</t>
    <rPh sb="7" eb="9">
      <t>ナイブ</t>
    </rPh>
    <rPh sb="10" eb="11">
      <t>シメ</t>
    </rPh>
    <phoneticPr fontId="1"/>
  </si>
  <si>
    <t>コンクリートの外部がぬれているとき</t>
    <rPh sb="7" eb="9">
      <t>ガイブ</t>
    </rPh>
    <phoneticPr fontId="1"/>
  </si>
  <si>
    <t>±０</t>
    <phoneticPr fontId="1"/>
  </si>
  <si>
    <t>＋５</t>
    <phoneticPr fontId="1"/>
  </si>
  <si>
    <t>測定部の状態による反発硬度補正値：ΔＲ</t>
    <rPh sb="0" eb="3">
      <t>ソクテイブ</t>
    </rPh>
    <rPh sb="4" eb="6">
      <t>ジョウタイ</t>
    </rPh>
    <rPh sb="9" eb="11">
      <t>ハンパツ</t>
    </rPh>
    <rPh sb="11" eb="13">
      <t>コウド</t>
    </rPh>
    <rPh sb="13" eb="16">
      <t>ホセイチ</t>
    </rPh>
    <phoneticPr fontId="1"/>
  </si>
  <si>
    <t>ｎ日</t>
    <rPh sb="1" eb="2">
      <t>ニチ</t>
    </rPh>
    <phoneticPr fontId="1"/>
  </si>
  <si>
    <t>αｎ</t>
    <phoneticPr fontId="1"/>
  </si>
  <si>
    <t>適　　用</t>
    <rPh sb="0" eb="1">
      <t>テキ</t>
    </rPh>
    <rPh sb="3" eb="4">
      <t>ヨウ</t>
    </rPh>
    <phoneticPr fontId="1"/>
  </si>
  <si>
    <t>擁壁工</t>
    <rPh sb="0" eb="1">
      <t>ヨウ</t>
    </rPh>
    <rPh sb="1" eb="2">
      <t>ヘキ</t>
    </rPh>
    <rPh sb="2" eb="3">
      <t>コウ</t>
    </rPh>
    <phoneticPr fontId="1"/>
  </si>
  <si>
    <t>＋３</t>
    <phoneticPr fontId="1"/>
  </si>
  <si>
    <t>反発度　Ｒ</t>
    <rPh sb="0" eb="2">
      <t>ハンパツ</t>
    </rPh>
    <rPh sb="2" eb="3">
      <t>ド</t>
    </rPh>
    <phoneticPr fontId="1"/>
  </si>
  <si>
    <t>テストハンマー強度試験成績書</t>
    <rPh sb="7" eb="9">
      <t>キョウド</t>
    </rPh>
    <rPh sb="9" eb="11">
      <t>シケン</t>
    </rPh>
    <rPh sb="11" eb="13">
      <t>セイセキ</t>
    </rPh>
    <rPh sb="13" eb="14">
      <t>ショ</t>
    </rPh>
    <phoneticPr fontId="1"/>
  </si>
  <si>
    <t>+90°</t>
    <phoneticPr fontId="1"/>
  </si>
  <si>
    <t>+90°</t>
    <phoneticPr fontId="1"/>
  </si>
  <si>
    <t>平　均</t>
    <rPh sb="0" eb="1">
      <t>ヒラ</t>
    </rPh>
    <rPh sb="2" eb="3">
      <t>ヒトシ</t>
    </rPh>
    <phoneticPr fontId="1"/>
  </si>
  <si>
    <t>反発度R</t>
    <rPh sb="0" eb="2">
      <t>ハンパツ</t>
    </rPh>
    <rPh sb="2" eb="3">
      <t>ド</t>
    </rPh>
    <phoneticPr fontId="1"/>
  </si>
  <si>
    <t>+45°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</si>
</sst>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vertAlign val="subscript"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" borderId="18" applyNumberFormat="0" applyFon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32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3"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176" fontId="0" fillId="0" borderId="0" xfId="0" applyNumberFormat="1" applyAlignment="1"/>
    <xf numFmtId="0" fontId="8" fillId="0" borderId="0" xfId="0" applyFont="1" applyAlignment="1"/>
    <xf numFmtId="0" fontId="9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/>
    <xf numFmtId="0" fontId="0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4" fillId="0" borderId="0" xfId="0" applyFont="1" applyBorder="1" applyAlignment="1"/>
    <xf numFmtId="0" fontId="5" fillId="0" borderId="2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0" fillId="0" borderId="0" xfId="0" applyFont="1" applyBorder="1" applyAlignment="1"/>
    <xf numFmtId="0" fontId="4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/>
    </xf>
    <xf numFmtId="176" fontId="0" fillId="0" borderId="10" xfId="0" applyNumberFormat="1" applyFont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76" fontId="0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0" fillId="0" borderId="0" xfId="0" applyBorder="1" applyAlignment="1"/>
    <xf numFmtId="176" fontId="0" fillId="0" borderId="0" xfId="0" applyNumberFormat="1" applyBorder="1" applyAlignment="1"/>
    <xf numFmtId="0" fontId="2" fillId="0" borderId="0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9" fillId="0" borderId="2" xfId="0" applyFont="1" applyBorder="1" applyAlignment="1">
      <alignment horizontal="left" vertical="center" indent="1"/>
    </xf>
    <xf numFmtId="177" fontId="5" fillId="0" borderId="2" xfId="0" applyNumberFormat="1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5" fillId="3" borderId="14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16</xdr:row>
      <xdr:rowOff>19050</xdr:rowOff>
    </xdr:from>
    <xdr:to>
      <xdr:col>2</xdr:col>
      <xdr:colOff>523875</xdr:colOff>
      <xdr:row>19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93370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16</xdr:row>
      <xdr:rowOff>66675</xdr:rowOff>
    </xdr:from>
    <xdr:to>
      <xdr:col>4</xdr:col>
      <xdr:colOff>0</xdr:colOff>
      <xdr:row>19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81325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16</xdr:row>
      <xdr:rowOff>104775</xdr:rowOff>
    </xdr:from>
    <xdr:to>
      <xdr:col>5</xdr:col>
      <xdr:colOff>0</xdr:colOff>
      <xdr:row>19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019425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16</xdr:row>
      <xdr:rowOff>57150</xdr:rowOff>
    </xdr:from>
    <xdr:to>
      <xdr:col>5</xdr:col>
      <xdr:colOff>533400</xdr:colOff>
      <xdr:row>19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2971800"/>
          <a:ext cx="523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16</xdr:row>
      <xdr:rowOff>9525</xdr:rowOff>
    </xdr:from>
    <xdr:to>
      <xdr:col>6</xdr:col>
      <xdr:colOff>523875</xdr:colOff>
      <xdr:row>19</xdr:row>
      <xdr:rowOff>142875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924175"/>
          <a:ext cx="504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view="pageBreakPreview" zoomScaleNormal="100" zoomScaleSheetLayoutView="100" workbookViewId="0">
      <selection activeCell="D58" sqref="D58"/>
    </sheetView>
  </sheetViews>
  <sheetFormatPr defaultRowHeight="13.5" x14ac:dyDescent="0.15"/>
  <cols>
    <col min="1" max="10" width="7.125" style="1" customWidth="1"/>
    <col min="11" max="11" width="7.125" customWidth="1"/>
    <col min="12" max="12" width="7.125" style="10" customWidth="1"/>
    <col min="13" max="15" width="5.625" style="1" customWidth="1"/>
    <col min="16" max="16384" width="9" style="1"/>
  </cols>
  <sheetData>
    <row r="1" spans="1:17" ht="23.25" customHeight="1" x14ac:dyDescent="0.15">
      <c r="A1" s="72" t="s">
        <v>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4"/>
      <c r="N1" s="14"/>
    </row>
    <row r="2" spans="1:17" ht="13.5" customHeight="1" x14ac:dyDescent="0.15">
      <c r="J2" s="14"/>
      <c r="K2" s="14"/>
      <c r="L2" s="14"/>
      <c r="M2" s="11" t="s">
        <v>12</v>
      </c>
      <c r="N2" s="14"/>
      <c r="O2" s="14"/>
      <c r="P2" s="14"/>
      <c r="Q2" s="14"/>
    </row>
    <row r="3" spans="1:17" x14ac:dyDescent="0.15">
      <c r="A3" s="1" t="s">
        <v>48</v>
      </c>
      <c r="J3" s="14"/>
      <c r="K3" s="14"/>
      <c r="L3" s="14"/>
      <c r="M3" s="11" t="s">
        <v>13</v>
      </c>
      <c r="N3" s="14"/>
      <c r="O3" s="14"/>
      <c r="P3" s="14"/>
      <c r="Q3" s="14"/>
    </row>
    <row r="4" spans="1:17" x14ac:dyDescent="0.15">
      <c r="A4" s="1" t="s">
        <v>49</v>
      </c>
      <c r="J4" s="14"/>
      <c r="K4" s="14"/>
      <c r="L4" s="14"/>
      <c r="N4" s="14"/>
      <c r="O4" s="14"/>
      <c r="P4" s="14"/>
      <c r="Q4" s="14"/>
    </row>
    <row r="5" spans="1:17" x14ac:dyDescent="0.15">
      <c r="A5" s="1" t="s">
        <v>50</v>
      </c>
      <c r="J5" s="14"/>
      <c r="K5" s="14"/>
      <c r="L5" s="14"/>
      <c r="M5" s="8" t="s">
        <v>9</v>
      </c>
      <c r="O5" s="14"/>
      <c r="P5" s="14"/>
      <c r="Q5" s="14"/>
    </row>
    <row r="6" spans="1:17" x14ac:dyDescent="0.15">
      <c r="A6" s="1" t="s">
        <v>51</v>
      </c>
      <c r="J6" s="14"/>
      <c r="K6" s="14"/>
      <c r="L6" s="14"/>
      <c r="M6" s="8" t="s">
        <v>14</v>
      </c>
      <c r="O6" s="14"/>
      <c r="P6" s="14"/>
      <c r="Q6" s="14"/>
    </row>
    <row r="7" spans="1:17" ht="16.5" x14ac:dyDescent="0.15">
      <c r="A7" s="1" t="s">
        <v>52</v>
      </c>
      <c r="B7" s="37" t="s">
        <v>53</v>
      </c>
      <c r="J7" s="14"/>
      <c r="K7" s="14"/>
      <c r="L7" s="14"/>
      <c r="M7" s="15"/>
      <c r="N7" s="14"/>
      <c r="O7" s="14"/>
      <c r="P7" s="14"/>
      <c r="Q7" s="14"/>
    </row>
    <row r="8" spans="1:17" x14ac:dyDescent="0.15">
      <c r="A8" s="75" t="s">
        <v>61</v>
      </c>
      <c r="B8" s="75"/>
      <c r="C8" s="75"/>
      <c r="D8" s="38" t="s">
        <v>54</v>
      </c>
      <c r="F8" s="75" t="s">
        <v>65</v>
      </c>
      <c r="G8" s="75"/>
      <c r="H8" s="75"/>
      <c r="I8" s="75"/>
      <c r="J8" s="75"/>
      <c r="K8" s="75" t="s">
        <v>63</v>
      </c>
      <c r="L8" s="75"/>
      <c r="M8" s="15"/>
      <c r="N8" s="14"/>
      <c r="O8" s="14"/>
      <c r="P8" s="14"/>
      <c r="Q8" s="14"/>
    </row>
    <row r="9" spans="1:17" x14ac:dyDescent="0.15">
      <c r="A9" s="61" t="s">
        <v>58</v>
      </c>
      <c r="B9" s="61"/>
      <c r="C9" s="61"/>
      <c r="D9" s="38" t="s">
        <v>55</v>
      </c>
      <c r="F9" s="61" t="s">
        <v>64</v>
      </c>
      <c r="G9" s="61"/>
      <c r="H9" s="61"/>
      <c r="I9" s="61"/>
      <c r="J9" s="61"/>
      <c r="K9" s="75" t="s">
        <v>68</v>
      </c>
      <c r="L9" s="75"/>
      <c r="M9" s="15"/>
      <c r="N9" s="14"/>
      <c r="O9" s="14"/>
      <c r="P9" s="14"/>
      <c r="Q9" s="14"/>
    </row>
    <row r="10" spans="1:17" x14ac:dyDescent="0.15">
      <c r="A10" s="54" t="s">
        <v>59</v>
      </c>
      <c r="B10" s="75"/>
      <c r="C10" s="75"/>
      <c r="D10" s="38" t="s">
        <v>56</v>
      </c>
      <c r="F10" s="61" t="s">
        <v>66</v>
      </c>
      <c r="G10" s="61"/>
      <c r="H10" s="61"/>
      <c r="I10" s="61"/>
      <c r="J10" s="61"/>
      <c r="K10" s="54" t="s">
        <v>75</v>
      </c>
      <c r="L10" s="54"/>
      <c r="M10" s="15"/>
      <c r="N10" s="14"/>
      <c r="O10" s="14"/>
      <c r="P10" s="14"/>
      <c r="Q10" s="14"/>
    </row>
    <row r="11" spans="1:17" x14ac:dyDescent="0.15">
      <c r="A11" s="54" t="s">
        <v>60</v>
      </c>
      <c r="B11" s="75"/>
      <c r="C11" s="75"/>
      <c r="D11" s="38" t="s">
        <v>57</v>
      </c>
      <c r="F11" s="61" t="s">
        <v>67</v>
      </c>
      <c r="G11" s="61"/>
      <c r="H11" s="61"/>
      <c r="I11" s="61"/>
      <c r="J11" s="61"/>
      <c r="K11" s="54" t="s">
        <v>69</v>
      </c>
      <c r="L11" s="54"/>
      <c r="M11" s="15"/>
      <c r="N11" s="14"/>
      <c r="O11" s="14"/>
      <c r="P11" s="14"/>
      <c r="Q11" s="14"/>
    </row>
    <row r="12" spans="1:17" x14ac:dyDescent="0.15">
      <c r="A12" s="37" t="s">
        <v>62</v>
      </c>
      <c r="F12" s="1" t="s">
        <v>70</v>
      </c>
      <c r="K12" s="1"/>
      <c r="L12" s="1"/>
      <c r="M12" s="15"/>
      <c r="N12" s="14"/>
      <c r="O12" s="14"/>
      <c r="P12" s="14"/>
      <c r="Q12" s="14"/>
    </row>
    <row r="13" spans="1:17" x14ac:dyDescent="0.15">
      <c r="J13" s="14"/>
      <c r="K13" s="14"/>
      <c r="L13" s="14"/>
      <c r="M13" s="15"/>
      <c r="N13" s="14"/>
      <c r="O13" s="14"/>
      <c r="P13" s="14"/>
      <c r="Q13" s="14"/>
    </row>
    <row r="14" spans="1:17" ht="14.25" x14ac:dyDescent="0.15">
      <c r="B14" s="3"/>
      <c r="C14" s="3" t="s">
        <v>40</v>
      </c>
      <c r="D14" s="3" t="s">
        <v>41</v>
      </c>
      <c r="E14" s="3"/>
      <c r="F14" s="3"/>
      <c r="G14" s="3"/>
      <c r="H14" s="3"/>
      <c r="I14" s="3"/>
      <c r="J14" s="14"/>
      <c r="K14" s="73" t="s">
        <v>44</v>
      </c>
      <c r="L14" s="74"/>
      <c r="M14" s="15"/>
      <c r="N14" s="14"/>
      <c r="O14" s="14"/>
      <c r="P14" s="14"/>
      <c r="Q14" s="14"/>
    </row>
    <row r="15" spans="1:17" x14ac:dyDescent="0.15">
      <c r="B15" s="79" t="s">
        <v>76</v>
      </c>
      <c r="C15" s="62" t="s">
        <v>36</v>
      </c>
      <c r="D15" s="63"/>
      <c r="E15" s="63"/>
      <c r="F15" s="63"/>
      <c r="G15" s="64"/>
      <c r="H15" s="55" t="s">
        <v>73</v>
      </c>
      <c r="I15" s="56"/>
      <c r="J15" s="43"/>
      <c r="K15" s="39" t="s">
        <v>10</v>
      </c>
      <c r="L15" s="40" t="s">
        <v>11</v>
      </c>
      <c r="M15" s="15"/>
      <c r="N15" s="14"/>
      <c r="O15" s="14"/>
      <c r="P15" s="14"/>
      <c r="Q15" s="14"/>
    </row>
    <row r="16" spans="1:17" x14ac:dyDescent="0.15">
      <c r="B16" s="80"/>
      <c r="C16" s="27" t="s">
        <v>78</v>
      </c>
      <c r="D16" s="27" t="s">
        <v>39</v>
      </c>
      <c r="E16" s="27" t="s">
        <v>47</v>
      </c>
      <c r="F16" s="27" t="s">
        <v>38</v>
      </c>
      <c r="G16" s="27" t="s">
        <v>37</v>
      </c>
      <c r="H16" s="57"/>
      <c r="I16" s="58"/>
      <c r="J16" s="43"/>
      <c r="K16" s="41" t="s">
        <v>71</v>
      </c>
      <c r="L16" s="42" t="s">
        <v>72</v>
      </c>
      <c r="M16" s="15"/>
      <c r="N16" s="14"/>
      <c r="O16" s="14"/>
      <c r="P16" s="14"/>
      <c r="Q16" s="14"/>
    </row>
    <row r="17" spans="2:17" x14ac:dyDescent="0.15">
      <c r="B17" s="80"/>
      <c r="C17" s="44"/>
      <c r="D17" s="44"/>
      <c r="E17" s="44"/>
      <c r="F17" s="44"/>
      <c r="G17" s="44"/>
      <c r="H17" s="57"/>
      <c r="I17" s="58"/>
      <c r="J17" s="43"/>
      <c r="K17" s="16">
        <v>4</v>
      </c>
      <c r="L17" s="25">
        <v>1.9</v>
      </c>
      <c r="M17" s="15"/>
      <c r="N17" s="14"/>
      <c r="O17" s="14"/>
      <c r="P17" s="14"/>
      <c r="Q17" s="14"/>
    </row>
    <row r="18" spans="2:17" x14ac:dyDescent="0.15">
      <c r="B18" s="80"/>
      <c r="C18" s="45"/>
      <c r="D18" s="45"/>
      <c r="E18" s="45"/>
      <c r="F18" s="45"/>
      <c r="G18" s="45"/>
      <c r="H18" s="57"/>
      <c r="I18" s="58"/>
      <c r="J18" s="43"/>
      <c r="K18" s="16">
        <v>5</v>
      </c>
      <c r="L18" s="25">
        <v>1.84</v>
      </c>
      <c r="M18" s="15"/>
      <c r="N18" s="14"/>
      <c r="O18" s="14"/>
      <c r="P18" s="14"/>
      <c r="Q18" s="14"/>
    </row>
    <row r="19" spans="2:17" x14ac:dyDescent="0.15">
      <c r="B19" s="80"/>
      <c r="C19" s="45"/>
      <c r="D19" s="45"/>
      <c r="E19" s="45"/>
      <c r="F19" s="45"/>
      <c r="G19" s="45"/>
      <c r="H19" s="57"/>
      <c r="I19" s="58"/>
      <c r="J19" s="43"/>
      <c r="K19" s="16">
        <v>6</v>
      </c>
      <c r="L19" s="25">
        <v>1.78</v>
      </c>
      <c r="M19" s="15"/>
      <c r="N19" s="14"/>
      <c r="O19" s="14"/>
      <c r="P19" s="14"/>
      <c r="Q19" s="14"/>
    </row>
    <row r="20" spans="2:17" x14ac:dyDescent="0.15">
      <c r="B20" s="81"/>
      <c r="C20" s="45"/>
      <c r="D20" s="45"/>
      <c r="E20" s="45"/>
      <c r="F20" s="45"/>
      <c r="G20" s="45"/>
      <c r="H20" s="59"/>
      <c r="I20" s="60"/>
      <c r="J20" s="43"/>
      <c r="K20" s="16">
        <v>7</v>
      </c>
      <c r="L20" s="25">
        <v>1.72</v>
      </c>
      <c r="M20" s="15"/>
      <c r="N20" s="14"/>
      <c r="O20" s="14"/>
      <c r="P20" s="14"/>
      <c r="Q20" s="14"/>
    </row>
    <row r="21" spans="2:17" x14ac:dyDescent="0.15">
      <c r="B21" s="26">
        <v>23</v>
      </c>
      <c r="C21" s="35">
        <f>155*0.0980665</f>
        <v>15.200307500000001</v>
      </c>
      <c r="D21" s="35">
        <f>145*0.0980665</f>
        <v>14.219642500000001</v>
      </c>
      <c r="E21" s="35">
        <f>115*0.0980665</f>
        <v>11.2776475</v>
      </c>
      <c r="F21" s="26" t="s">
        <v>43</v>
      </c>
      <c r="G21" s="26" t="s">
        <v>43</v>
      </c>
      <c r="H21" s="30"/>
      <c r="I21" s="31"/>
      <c r="J21" s="32"/>
      <c r="K21" s="16">
        <v>8</v>
      </c>
      <c r="L21" s="25">
        <v>1.67</v>
      </c>
      <c r="M21" s="15"/>
      <c r="N21" s="14"/>
      <c r="O21" s="14"/>
      <c r="P21" s="14"/>
      <c r="Q21" s="14"/>
    </row>
    <row r="22" spans="2:17" x14ac:dyDescent="0.15">
      <c r="B22" s="26">
        <v>24</v>
      </c>
      <c r="C22" s="35">
        <f>167*0.0980665</f>
        <v>16.377105499999999</v>
      </c>
      <c r="D22" s="35">
        <f>159*0.0980665</f>
        <v>15.5925735</v>
      </c>
      <c r="E22" s="35">
        <f>129*0.0980665</f>
        <v>12.6505785</v>
      </c>
      <c r="F22" s="26" t="s">
        <v>43</v>
      </c>
      <c r="G22" s="26" t="s">
        <v>43</v>
      </c>
      <c r="H22" s="76"/>
      <c r="I22" s="77"/>
      <c r="J22" s="32"/>
      <c r="K22" s="16">
        <v>9</v>
      </c>
      <c r="L22" s="25">
        <v>1.61</v>
      </c>
      <c r="M22" s="15"/>
      <c r="N22" s="14"/>
      <c r="O22" s="14"/>
      <c r="P22" s="14"/>
      <c r="Q22" s="14"/>
    </row>
    <row r="23" spans="2:17" x14ac:dyDescent="0.15">
      <c r="B23" s="26">
        <v>25</v>
      </c>
      <c r="C23" s="35">
        <f>180*0.0980665</f>
        <v>17.651969999999999</v>
      </c>
      <c r="D23" s="35">
        <f>170*0.0980665</f>
        <v>16.671305</v>
      </c>
      <c r="E23" s="35">
        <f>140*0.0980665</f>
        <v>13.72931</v>
      </c>
      <c r="F23" s="35">
        <f>103*0.0980665</f>
        <v>10.100849500000001</v>
      </c>
      <c r="G23" s="26" t="s">
        <v>43</v>
      </c>
      <c r="H23" s="32"/>
      <c r="I23" s="2"/>
      <c r="J23" s="32"/>
      <c r="K23" s="16">
        <v>10</v>
      </c>
      <c r="L23" s="25">
        <v>1.55</v>
      </c>
      <c r="M23" s="15"/>
      <c r="N23" s="14"/>
      <c r="O23" s="14"/>
      <c r="P23" s="14"/>
      <c r="Q23" s="14"/>
    </row>
    <row r="24" spans="2:17" x14ac:dyDescent="0.15">
      <c r="B24" s="26">
        <v>26</v>
      </c>
      <c r="C24" s="35">
        <f>193*0.0980665</f>
        <v>18.926834500000002</v>
      </c>
      <c r="D24" s="35">
        <f>183*0.0980665</f>
        <v>17.9461695</v>
      </c>
      <c r="E24" s="35">
        <f>153*0.0980665</f>
        <v>15.0041745</v>
      </c>
      <c r="F24" s="35">
        <f>113*0.0980665</f>
        <v>11.081514500000001</v>
      </c>
      <c r="G24" s="26" t="s">
        <v>43</v>
      </c>
      <c r="H24" s="32"/>
      <c r="I24" s="2"/>
      <c r="J24" s="32"/>
      <c r="K24" s="16">
        <v>11</v>
      </c>
      <c r="L24" s="25">
        <v>1.49</v>
      </c>
      <c r="M24" s="15"/>
      <c r="N24" s="14"/>
      <c r="O24" s="14"/>
      <c r="P24" s="14"/>
      <c r="Q24" s="14"/>
    </row>
    <row r="25" spans="2:17" x14ac:dyDescent="0.15">
      <c r="B25" s="26">
        <v>27</v>
      </c>
      <c r="C25" s="35">
        <f>206*0.0980665</f>
        <v>20.201699000000001</v>
      </c>
      <c r="D25" s="35">
        <f>196*0.0980665</f>
        <v>19.221034</v>
      </c>
      <c r="E25" s="35">
        <f>166*0.0980665</f>
        <v>16.279039000000001</v>
      </c>
      <c r="F25" s="35">
        <f>126*0.0980665</f>
        <v>12.356379</v>
      </c>
      <c r="G25" s="35">
        <f>108*0.0980665</f>
        <v>10.591182</v>
      </c>
      <c r="H25" s="32"/>
      <c r="I25" s="2"/>
      <c r="J25" s="32"/>
      <c r="K25" s="16">
        <v>12</v>
      </c>
      <c r="L25" s="25">
        <v>1.4493</v>
      </c>
      <c r="M25" s="14"/>
    </row>
    <row r="26" spans="2:17" x14ac:dyDescent="0.15">
      <c r="B26" s="26">
        <v>28</v>
      </c>
      <c r="C26" s="35">
        <f>220*0.0980665</f>
        <v>21.574629999999999</v>
      </c>
      <c r="D26" s="35">
        <f>210*0.0980665</f>
        <v>20.593965000000001</v>
      </c>
      <c r="E26" s="35">
        <f>180*0.0980665</f>
        <v>17.651969999999999</v>
      </c>
      <c r="F26" s="35">
        <f>140*0.0980665</f>
        <v>13.72931</v>
      </c>
      <c r="G26" s="35">
        <f>120*0.0980665</f>
        <v>11.76798</v>
      </c>
      <c r="H26" s="32"/>
      <c r="I26" s="2"/>
      <c r="J26" s="32"/>
      <c r="K26" s="16">
        <v>13</v>
      </c>
      <c r="L26" s="25">
        <v>1.4</v>
      </c>
      <c r="M26" s="14"/>
    </row>
    <row r="27" spans="2:17" x14ac:dyDescent="0.15">
      <c r="B27" s="26">
        <v>29</v>
      </c>
      <c r="C27" s="35">
        <f>233*0.0980665</f>
        <v>22.849494499999999</v>
      </c>
      <c r="D27" s="35">
        <f>223*0.0980665</f>
        <v>21.8688295</v>
      </c>
      <c r="E27" s="35">
        <f>190*0.0980665</f>
        <v>18.632635000000001</v>
      </c>
      <c r="F27" s="35">
        <f>150*0.0980665</f>
        <v>14.709975</v>
      </c>
      <c r="G27" s="35">
        <f>132*0.0980665</f>
        <v>12.944777999999999</v>
      </c>
      <c r="H27" s="32"/>
      <c r="I27" s="2"/>
      <c r="J27" s="32"/>
      <c r="K27" s="16">
        <v>14</v>
      </c>
      <c r="L27" s="25">
        <v>1.36</v>
      </c>
      <c r="M27" s="14"/>
    </row>
    <row r="28" spans="2:17" x14ac:dyDescent="0.15">
      <c r="B28" s="26">
        <v>30</v>
      </c>
      <c r="C28" s="35">
        <f>246*0.0980665</f>
        <v>24.124359000000002</v>
      </c>
      <c r="D28" s="35">
        <f>236*0.0980665</f>
        <v>23.143694</v>
      </c>
      <c r="E28" s="35">
        <f>204*0.0980665</f>
        <v>20.005566000000002</v>
      </c>
      <c r="F28" s="35">
        <f>163*0.0980665</f>
        <v>15.9848395</v>
      </c>
      <c r="G28" s="35">
        <f>144*0.0980665</f>
        <v>14.121576000000001</v>
      </c>
      <c r="H28" s="32"/>
      <c r="I28" s="2"/>
      <c r="J28" s="32"/>
      <c r="K28" s="16">
        <v>15</v>
      </c>
      <c r="L28" s="25">
        <v>1.32</v>
      </c>
      <c r="M28" s="14"/>
    </row>
    <row r="29" spans="2:17" x14ac:dyDescent="0.15">
      <c r="B29" s="26">
        <v>31</v>
      </c>
      <c r="C29" s="35">
        <f>260*0.0980665</f>
        <v>25.49729</v>
      </c>
      <c r="D29" s="35">
        <f>250*0.0980665</f>
        <v>24.516625000000001</v>
      </c>
      <c r="E29" s="35">
        <f>218*0.0980665</f>
        <v>21.378496999999999</v>
      </c>
      <c r="F29" s="35">
        <f>176*0.0980665</f>
        <v>17.259703999999999</v>
      </c>
      <c r="G29" s="35">
        <f>157*0.0980665</f>
        <v>15.396440500000001</v>
      </c>
      <c r="H29" s="76"/>
      <c r="I29" s="77"/>
      <c r="J29" s="36"/>
      <c r="K29" s="16">
        <v>16</v>
      </c>
      <c r="L29" s="25">
        <v>1.28</v>
      </c>
      <c r="M29" s="14"/>
    </row>
    <row r="30" spans="2:17" x14ac:dyDescent="0.15">
      <c r="B30" s="26">
        <v>32</v>
      </c>
      <c r="C30" s="35">
        <f>275*0.0980665</f>
        <v>26.968287499999999</v>
      </c>
      <c r="D30" s="35">
        <f>264*0.0980665</f>
        <v>25.889555999999999</v>
      </c>
      <c r="E30" s="35">
        <f>232*0.0980665</f>
        <v>22.751428000000001</v>
      </c>
      <c r="F30" s="35">
        <f>190*0.0980665</f>
        <v>18.632635000000001</v>
      </c>
      <c r="G30" s="35">
        <f>170*0.0980665</f>
        <v>16.671305</v>
      </c>
      <c r="H30" s="32"/>
      <c r="I30" s="2"/>
      <c r="J30" s="32"/>
      <c r="K30" s="16">
        <v>17</v>
      </c>
      <c r="L30" s="25">
        <v>1.25</v>
      </c>
      <c r="M30" s="14"/>
    </row>
    <row r="31" spans="2:17" x14ac:dyDescent="0.15">
      <c r="B31" s="26">
        <v>33</v>
      </c>
      <c r="C31" s="35">
        <f>290*0.0980665</f>
        <v>28.439285000000002</v>
      </c>
      <c r="D31" s="35">
        <f>278*0.0980665</f>
        <v>27.262487</v>
      </c>
      <c r="E31" s="35">
        <f>246*0.0980665</f>
        <v>24.124359000000002</v>
      </c>
      <c r="F31" s="35">
        <f>205*0.0980665</f>
        <v>20.1036325</v>
      </c>
      <c r="G31" s="35">
        <f>185*0.0980665</f>
        <v>18.1423025</v>
      </c>
      <c r="H31" s="32"/>
      <c r="I31" s="2"/>
      <c r="J31" s="32"/>
      <c r="K31" s="16">
        <v>18</v>
      </c>
      <c r="L31" s="25">
        <v>1.22</v>
      </c>
      <c r="M31" s="14"/>
    </row>
    <row r="32" spans="2:17" x14ac:dyDescent="0.15">
      <c r="B32" s="26">
        <v>34</v>
      </c>
      <c r="C32" s="35">
        <f>305*0.0980665</f>
        <v>29.910282500000001</v>
      </c>
      <c r="D32" s="35">
        <f>293*0.0980665</f>
        <v>28.733484499999999</v>
      </c>
      <c r="E32" s="35">
        <f>260*0.0980665</f>
        <v>25.49729</v>
      </c>
      <c r="F32" s="35">
        <f>220*0.0980665</f>
        <v>21.574629999999999</v>
      </c>
      <c r="G32" s="35">
        <f>200*0.0980665</f>
        <v>19.613299999999999</v>
      </c>
      <c r="H32" s="32"/>
      <c r="I32" s="2"/>
      <c r="J32" s="32"/>
      <c r="K32" s="16">
        <v>19</v>
      </c>
      <c r="L32" s="25">
        <v>1.18</v>
      </c>
      <c r="M32" s="14"/>
    </row>
    <row r="33" spans="1:13" x14ac:dyDescent="0.15">
      <c r="B33" s="26">
        <v>35</v>
      </c>
      <c r="C33" s="35">
        <f>320*0.0980665</f>
        <v>31.38128</v>
      </c>
      <c r="D33" s="35">
        <f>308*0.0980665</f>
        <v>30.204481999999999</v>
      </c>
      <c r="E33" s="35">
        <f>275*0.0980665</f>
        <v>26.968287499999999</v>
      </c>
      <c r="F33" s="35">
        <f>235*0.0980665</f>
        <v>23.045627500000002</v>
      </c>
      <c r="G33" s="35">
        <f>215*0.0980665</f>
        <v>21.084297500000002</v>
      </c>
      <c r="H33" s="32"/>
      <c r="I33" s="2"/>
      <c r="J33" s="32"/>
      <c r="K33" s="16">
        <v>20</v>
      </c>
      <c r="L33" s="25">
        <v>1.1499999999999999</v>
      </c>
      <c r="M33" s="14"/>
    </row>
    <row r="34" spans="1:13" x14ac:dyDescent="0.15">
      <c r="B34" s="26">
        <v>36</v>
      </c>
      <c r="C34" s="52">
        <f>335*0.0980665</f>
        <v>32.8522775</v>
      </c>
      <c r="D34" s="52">
        <f>323*0.0980665</f>
        <v>31.675479500000002</v>
      </c>
      <c r="E34" s="52">
        <f>290*0.0980665</f>
        <v>28.439285000000002</v>
      </c>
      <c r="F34" s="52">
        <f>250*0.0980665</f>
        <v>24.516625000000001</v>
      </c>
      <c r="G34" s="52">
        <f>230*0.0980665</f>
        <v>22.555295000000001</v>
      </c>
      <c r="H34" s="32"/>
      <c r="I34" s="2"/>
      <c r="J34" s="32"/>
      <c r="K34" s="16">
        <v>21</v>
      </c>
      <c r="L34" s="25">
        <v>1.1200000000000001</v>
      </c>
      <c r="M34" s="14"/>
    </row>
    <row r="35" spans="1:13" x14ac:dyDescent="0.15">
      <c r="B35" s="26">
        <v>37</v>
      </c>
      <c r="C35" s="35">
        <f>350*0.0980665</f>
        <v>34.323275000000002</v>
      </c>
      <c r="D35" s="35">
        <f>338*0.0980665</f>
        <v>33.146476999999997</v>
      </c>
      <c r="E35" s="35">
        <f>305*0.0980665</f>
        <v>29.910282500000001</v>
      </c>
      <c r="F35" s="35">
        <f>265*0.0980665</f>
        <v>25.987622500000001</v>
      </c>
      <c r="G35" s="35">
        <f>245*0.0980665</f>
        <v>24.0262925</v>
      </c>
      <c r="H35" s="32"/>
      <c r="I35" s="2"/>
      <c r="J35" s="32"/>
      <c r="K35" s="16">
        <v>22</v>
      </c>
      <c r="L35" s="25">
        <v>1.1000000000000001</v>
      </c>
      <c r="M35" s="14"/>
    </row>
    <row r="36" spans="1:13" x14ac:dyDescent="0.15">
      <c r="B36" s="51">
        <v>38</v>
      </c>
      <c r="C36" s="52">
        <f>365*0.0980665</f>
        <v>35.794272499999998</v>
      </c>
      <c r="D36" s="52">
        <f>353*0.0980665</f>
        <v>34.6174745</v>
      </c>
      <c r="E36" s="52">
        <f>320*0.0980665</f>
        <v>31.38128</v>
      </c>
      <c r="F36" s="52">
        <f>280*0.0980665</f>
        <v>27.45862</v>
      </c>
      <c r="G36" s="52">
        <f>260*0.0980665</f>
        <v>25.49729</v>
      </c>
      <c r="H36" s="76"/>
      <c r="I36" s="77"/>
      <c r="J36" s="36"/>
      <c r="K36" s="16">
        <v>23</v>
      </c>
      <c r="L36" s="25">
        <v>1.08</v>
      </c>
      <c r="M36" s="14"/>
    </row>
    <row r="37" spans="1:13" x14ac:dyDescent="0.15">
      <c r="B37" s="26">
        <v>39</v>
      </c>
      <c r="C37" s="35">
        <f>380*0.0980665</f>
        <v>37.265270000000001</v>
      </c>
      <c r="D37" s="35">
        <f>368*0.0980665</f>
        <v>36.088472000000003</v>
      </c>
      <c r="E37" s="35">
        <f>335*0.0980665</f>
        <v>32.8522775</v>
      </c>
      <c r="F37" s="35">
        <f>295*0.0980665</f>
        <v>28.929617499999999</v>
      </c>
      <c r="G37" s="35">
        <f>275*0.0980665</f>
        <v>26.968287499999999</v>
      </c>
      <c r="H37" s="32"/>
      <c r="I37" s="2"/>
      <c r="J37" s="32"/>
      <c r="K37" s="16">
        <v>24</v>
      </c>
      <c r="L37" s="25">
        <v>1.06</v>
      </c>
      <c r="M37" s="14"/>
    </row>
    <row r="38" spans="1:13" x14ac:dyDescent="0.15">
      <c r="B38" s="26">
        <v>40</v>
      </c>
      <c r="C38" s="35">
        <f>395*0.0980665</f>
        <v>38.736267500000004</v>
      </c>
      <c r="D38" s="35">
        <f>383*0.0980665</f>
        <v>37.559469499999999</v>
      </c>
      <c r="E38" s="35">
        <f>350*0.0980665</f>
        <v>34.323275000000002</v>
      </c>
      <c r="F38" s="35">
        <f>310*0.0980665</f>
        <v>30.400615000000002</v>
      </c>
      <c r="G38" s="35">
        <f>290*0.0980665</f>
        <v>28.439285000000002</v>
      </c>
      <c r="H38" s="32"/>
      <c r="I38" s="2"/>
      <c r="J38" s="32"/>
      <c r="K38" s="16">
        <v>25</v>
      </c>
      <c r="L38" s="25">
        <v>1.0417000000000001</v>
      </c>
      <c r="M38" s="14"/>
    </row>
    <row r="39" spans="1:13" x14ac:dyDescent="0.15">
      <c r="B39" s="26">
        <v>41</v>
      </c>
      <c r="C39" s="35">
        <f>410*0.0980665</f>
        <v>40.207265</v>
      </c>
      <c r="D39" s="35">
        <f>398*0.0980665</f>
        <v>39.030467000000002</v>
      </c>
      <c r="E39" s="35">
        <f>365*0.0980665</f>
        <v>35.794272499999998</v>
      </c>
      <c r="F39" s="35">
        <f>327*0.0980665</f>
        <v>32.067745500000001</v>
      </c>
      <c r="G39" s="35">
        <f>307*0.0980665</f>
        <v>30.106415500000001</v>
      </c>
      <c r="H39" s="32"/>
      <c r="I39" s="2"/>
      <c r="J39" s="32"/>
      <c r="K39" s="16">
        <v>26</v>
      </c>
      <c r="L39" s="25">
        <v>1.02</v>
      </c>
      <c r="M39" s="14"/>
    </row>
    <row r="40" spans="1:13" x14ac:dyDescent="0.15">
      <c r="B40" s="26">
        <v>42</v>
      </c>
      <c r="C40" s="35">
        <f>425*0.0980665</f>
        <v>41.678262500000002</v>
      </c>
      <c r="D40" s="35">
        <f>413*0.0980665</f>
        <v>40.501464499999997</v>
      </c>
      <c r="E40" s="35">
        <f>380*0.0980665</f>
        <v>37.265270000000001</v>
      </c>
      <c r="F40" s="35">
        <f>343*0.0980665</f>
        <v>33.636809499999998</v>
      </c>
      <c r="G40" s="35">
        <f>323*0.0980665</f>
        <v>31.675479500000002</v>
      </c>
      <c r="H40" s="32"/>
      <c r="I40" s="2"/>
      <c r="J40" s="32"/>
      <c r="K40" s="16">
        <v>27</v>
      </c>
      <c r="L40" s="25">
        <v>1.01</v>
      </c>
      <c r="M40" s="14"/>
    </row>
    <row r="41" spans="1:13" x14ac:dyDescent="0.15">
      <c r="B41" s="26">
        <v>43</v>
      </c>
      <c r="C41" s="35">
        <f>440*0.0980665</f>
        <v>43.149259999999998</v>
      </c>
      <c r="D41" s="35">
        <f>428*0.0980665</f>
        <v>41.972462</v>
      </c>
      <c r="E41" s="35">
        <f>396*0.0980665</f>
        <v>38.834333999999998</v>
      </c>
      <c r="F41" s="35">
        <f>360*0.0980665</f>
        <v>35.303939999999997</v>
      </c>
      <c r="G41" s="35">
        <f>340*0.0980665</f>
        <v>33.342610000000001</v>
      </c>
      <c r="H41" s="33"/>
      <c r="I41" s="34"/>
      <c r="J41" s="32"/>
      <c r="K41" s="16">
        <v>28</v>
      </c>
      <c r="L41" s="25">
        <v>1</v>
      </c>
      <c r="M41" s="14"/>
    </row>
    <row r="42" spans="1:13" x14ac:dyDescent="0.15">
      <c r="M42" s="14"/>
    </row>
    <row r="43" spans="1:13" x14ac:dyDescent="0.15">
      <c r="A43" s="66" t="s">
        <v>0</v>
      </c>
      <c r="B43" s="66"/>
      <c r="C43" s="66"/>
      <c r="D43" s="67" t="s">
        <v>45</v>
      </c>
      <c r="E43" s="67"/>
      <c r="F43" s="67"/>
      <c r="G43" s="67"/>
      <c r="H43" s="5"/>
      <c r="I43" s="14"/>
      <c r="J43" s="14"/>
      <c r="K43" s="14"/>
      <c r="L43"/>
    </row>
    <row r="44" spans="1:13" x14ac:dyDescent="0.15">
      <c r="A44" s="66" t="s">
        <v>42</v>
      </c>
      <c r="B44" s="66"/>
      <c r="C44" s="66"/>
      <c r="D44" s="17" t="s">
        <v>74</v>
      </c>
      <c r="E44" s="17"/>
      <c r="F44" s="17"/>
      <c r="G44" s="17"/>
      <c r="H44" s="5"/>
      <c r="I44" s="14"/>
      <c r="J44" s="14"/>
      <c r="K44" s="14"/>
      <c r="L44" s="46"/>
      <c r="M44" s="14"/>
    </row>
    <row r="45" spans="1:13" x14ac:dyDescent="0.15">
      <c r="A45" s="65" t="s">
        <v>1</v>
      </c>
      <c r="B45" s="65"/>
      <c r="C45" s="65"/>
      <c r="D45" s="65"/>
      <c r="E45" s="12" t="s">
        <v>82</v>
      </c>
      <c r="F45" s="6"/>
      <c r="G45" s="3"/>
      <c r="H45" s="3"/>
      <c r="I45" s="3"/>
      <c r="J45" s="14"/>
      <c r="K45" s="14"/>
      <c r="L45" s="14"/>
      <c r="M45" s="14"/>
    </row>
    <row r="46" spans="1:13" x14ac:dyDescent="0.15">
      <c r="A46" s="3"/>
      <c r="B46" s="3"/>
      <c r="C46" s="3"/>
      <c r="D46" s="13"/>
      <c r="E46" s="3"/>
      <c r="F46" s="3"/>
      <c r="G46" s="3"/>
      <c r="H46" s="3"/>
      <c r="I46" s="14"/>
      <c r="J46" s="14"/>
      <c r="K46" s="14"/>
      <c r="L46" s="46"/>
      <c r="M46" s="14"/>
    </row>
    <row r="47" spans="1:13" x14ac:dyDescent="0.15">
      <c r="A47" s="18" t="s">
        <v>15</v>
      </c>
      <c r="B47" s="19">
        <v>37</v>
      </c>
      <c r="C47" s="18" t="s">
        <v>16</v>
      </c>
      <c r="D47" s="19">
        <v>37</v>
      </c>
      <c r="E47" s="18" t="s">
        <v>17</v>
      </c>
      <c r="F47" s="19">
        <v>38</v>
      </c>
      <c r="G47" s="18" t="s">
        <v>18</v>
      </c>
      <c r="H47" s="19">
        <v>37</v>
      </c>
      <c r="I47" s="14"/>
      <c r="J47" s="14"/>
      <c r="K47" s="14"/>
      <c r="L47" s="46"/>
      <c r="M47" s="14"/>
    </row>
    <row r="48" spans="1:13" x14ac:dyDescent="0.15">
      <c r="A48" s="18" t="s">
        <v>19</v>
      </c>
      <c r="B48" s="20">
        <v>38</v>
      </c>
      <c r="C48" s="18" t="s">
        <v>20</v>
      </c>
      <c r="D48" s="20">
        <v>40</v>
      </c>
      <c r="E48" s="18" t="s">
        <v>21</v>
      </c>
      <c r="F48" s="20">
        <v>35</v>
      </c>
      <c r="G48" s="18" t="s">
        <v>22</v>
      </c>
      <c r="H48" s="20">
        <v>38</v>
      </c>
      <c r="I48" s="14"/>
      <c r="J48" s="14"/>
      <c r="K48" s="14"/>
      <c r="L48" s="46"/>
    </row>
    <row r="49" spans="1:12" x14ac:dyDescent="0.15">
      <c r="A49" s="18" t="s">
        <v>23</v>
      </c>
      <c r="B49" s="20">
        <v>39</v>
      </c>
      <c r="C49" s="18" t="s">
        <v>24</v>
      </c>
      <c r="D49" s="20">
        <v>40</v>
      </c>
      <c r="E49" s="18" t="s">
        <v>25</v>
      </c>
      <c r="F49" s="20">
        <v>38</v>
      </c>
      <c r="G49" s="18" t="s">
        <v>26</v>
      </c>
      <c r="H49" s="20">
        <v>36</v>
      </c>
      <c r="I49" s="14"/>
      <c r="J49" s="14"/>
      <c r="K49" s="14"/>
      <c r="L49" s="46"/>
    </row>
    <row r="50" spans="1:12" x14ac:dyDescent="0.15">
      <c r="A50" s="21" t="s">
        <v>27</v>
      </c>
      <c r="B50" s="20">
        <v>36</v>
      </c>
      <c r="C50" s="21" t="s">
        <v>28</v>
      </c>
      <c r="D50" s="20">
        <v>35</v>
      </c>
      <c r="E50" s="21" t="s">
        <v>29</v>
      </c>
      <c r="F50" s="20">
        <v>45</v>
      </c>
      <c r="G50" s="21" t="s">
        <v>30</v>
      </c>
      <c r="H50" s="22">
        <v>44</v>
      </c>
      <c r="I50" s="14"/>
      <c r="J50" s="14"/>
      <c r="K50" s="14"/>
      <c r="L50" s="46"/>
    </row>
    <row r="51" spans="1:12" x14ac:dyDescent="0.15">
      <c r="A51" s="21" t="s">
        <v>31</v>
      </c>
      <c r="B51" s="20">
        <v>40</v>
      </c>
      <c r="C51" s="21" t="s">
        <v>32</v>
      </c>
      <c r="D51" s="20">
        <v>37</v>
      </c>
      <c r="E51" s="21" t="s">
        <v>33</v>
      </c>
      <c r="F51" s="20">
        <v>36</v>
      </c>
      <c r="G51" s="21" t="s">
        <v>34</v>
      </c>
      <c r="H51" s="22">
        <v>38</v>
      </c>
      <c r="I51" s="14"/>
      <c r="J51" s="14"/>
      <c r="K51" s="14"/>
      <c r="L51" s="46"/>
    </row>
    <row r="52" spans="1:12" x14ac:dyDescent="0.15">
      <c r="A52" s="3"/>
      <c r="B52" s="3"/>
      <c r="C52" s="3"/>
      <c r="D52" s="3"/>
      <c r="E52" s="3"/>
      <c r="F52" s="3"/>
      <c r="G52" s="3"/>
      <c r="H52" s="3"/>
      <c r="I52" s="14"/>
      <c r="J52" s="14"/>
      <c r="K52" s="14"/>
      <c r="L52" s="46"/>
    </row>
    <row r="53" spans="1:12" ht="14.25" thickBot="1" x14ac:dyDescent="0.2">
      <c r="A53" s="3"/>
      <c r="B53" s="3"/>
      <c r="C53" s="3"/>
      <c r="D53" s="3"/>
      <c r="E53" s="3"/>
      <c r="F53" s="50" t="s">
        <v>80</v>
      </c>
      <c r="G53" s="78">
        <f>IF(B47="","",AVERAGE(B47:B51,D47:D51,F47:F51,H47:H51))</f>
        <v>38.200000000000003</v>
      </c>
      <c r="H53" s="78"/>
      <c r="I53" s="14"/>
      <c r="J53" s="14"/>
      <c r="K53" s="14"/>
      <c r="L53" s="46"/>
    </row>
    <row r="54" spans="1:12" ht="15" thickTop="1" thickBot="1" x14ac:dyDescent="0.2">
      <c r="A54" s="3"/>
      <c r="B54" s="3"/>
      <c r="C54" s="3"/>
      <c r="D54" s="3"/>
      <c r="E54" s="3"/>
      <c r="F54" s="53" t="s">
        <v>81</v>
      </c>
      <c r="G54" s="82">
        <f>ROUNDDOWN(G53,0)</f>
        <v>38</v>
      </c>
      <c r="H54" s="82"/>
      <c r="I54" s="14"/>
      <c r="J54" s="14"/>
      <c r="K54" s="14"/>
      <c r="L54" s="46"/>
    </row>
    <row r="55" spans="1:12" ht="14.25" thickTop="1" x14ac:dyDescent="0.15">
      <c r="K55" s="46"/>
      <c r="L55" s="47"/>
    </row>
    <row r="56" spans="1:12" x14ac:dyDescent="0.15">
      <c r="B56" s="65" t="s">
        <v>4</v>
      </c>
      <c r="C56" s="65"/>
      <c r="D56" s="69">
        <v>43997</v>
      </c>
      <c r="E56" s="69"/>
      <c r="F56" s="69"/>
      <c r="G56" s="3"/>
      <c r="H56" s="3"/>
      <c r="I56" s="3"/>
      <c r="J56" s="14"/>
      <c r="K56" s="14"/>
      <c r="L56" s="14"/>
    </row>
    <row r="57" spans="1:12" x14ac:dyDescent="0.15">
      <c r="B57" s="65" t="s">
        <v>5</v>
      </c>
      <c r="C57" s="65"/>
      <c r="D57" s="69">
        <v>44021</v>
      </c>
      <c r="E57" s="70"/>
      <c r="F57" s="70"/>
      <c r="G57" s="4" t="s">
        <v>2</v>
      </c>
      <c r="H57" s="9">
        <f>DATEDIF(D56,D57,"D")</f>
        <v>24</v>
      </c>
      <c r="I57" s="6" t="s">
        <v>3</v>
      </c>
      <c r="J57" s="14"/>
      <c r="K57" s="28"/>
      <c r="L57" s="14"/>
    </row>
    <row r="58" spans="1:12" x14ac:dyDescent="0.15">
      <c r="B58" s="3"/>
      <c r="C58" s="3"/>
      <c r="D58" s="3"/>
      <c r="E58" s="3"/>
      <c r="F58" s="3"/>
      <c r="G58" s="3"/>
      <c r="H58" s="3"/>
      <c r="I58" s="3"/>
      <c r="J58" s="14"/>
      <c r="K58" s="28"/>
      <c r="L58" s="14"/>
    </row>
    <row r="59" spans="1:12" x14ac:dyDescent="0.15">
      <c r="B59" s="3" t="s">
        <v>6</v>
      </c>
      <c r="C59" s="3"/>
      <c r="D59" s="3"/>
      <c r="E59" s="23" t="s">
        <v>8</v>
      </c>
      <c r="F59" s="3"/>
      <c r="G59" s="3"/>
      <c r="H59" s="3"/>
      <c r="I59" s="3"/>
      <c r="J59" s="14"/>
      <c r="K59" s="28"/>
      <c r="L59" s="14"/>
    </row>
    <row r="60" spans="1:12" x14ac:dyDescent="0.15">
      <c r="B60" s="71">
        <f>ROUNDUP(INDEX(C21:G41,MATCH(G54,B21:B41,0),MATCH(E45,C16:G16,0)),2)</f>
        <v>34.619999999999997</v>
      </c>
      <c r="C60" s="71"/>
      <c r="D60" s="29" t="s">
        <v>46</v>
      </c>
      <c r="E60" s="24">
        <f>VLOOKUP(H57,係数,2,FALSE)</f>
        <v>1.06</v>
      </c>
      <c r="F60" s="7" t="s">
        <v>7</v>
      </c>
      <c r="G60" s="68">
        <f>B60*E60</f>
        <v>36.697200000000002</v>
      </c>
      <c r="H60" s="68"/>
      <c r="I60" s="6" t="s">
        <v>35</v>
      </c>
      <c r="J60" s="14"/>
      <c r="K60" s="28"/>
      <c r="L60" s="14"/>
    </row>
    <row r="61" spans="1:12" x14ac:dyDescent="0.15">
      <c r="B61" s="3"/>
      <c r="C61" s="3"/>
      <c r="D61" s="3"/>
      <c r="E61" s="3"/>
      <c r="F61" s="3"/>
      <c r="G61" s="3"/>
      <c r="H61" s="3"/>
      <c r="I61" s="3"/>
      <c r="J61" s="14"/>
      <c r="K61" s="28"/>
      <c r="L61" s="14"/>
    </row>
    <row r="64" spans="1:12" x14ac:dyDescent="0.15">
      <c r="E64" s="49" t="s">
        <v>79</v>
      </c>
    </row>
    <row r="65" spans="5:5" x14ac:dyDescent="0.15">
      <c r="E65" s="48" t="s">
        <v>39</v>
      </c>
    </row>
    <row r="66" spans="5:5" x14ac:dyDescent="0.15">
      <c r="E66" s="48" t="s">
        <v>47</v>
      </c>
    </row>
    <row r="67" spans="5:5" x14ac:dyDescent="0.15">
      <c r="E67" s="48" t="s">
        <v>38</v>
      </c>
    </row>
    <row r="68" spans="5:5" x14ac:dyDescent="0.15">
      <c r="E68" s="48" t="s">
        <v>37</v>
      </c>
    </row>
  </sheetData>
  <mergeCells count="32">
    <mergeCell ref="B15:B20"/>
    <mergeCell ref="A45:D45"/>
    <mergeCell ref="G54:H54"/>
    <mergeCell ref="H22:I22"/>
    <mergeCell ref="H29:I29"/>
    <mergeCell ref="H36:I36"/>
    <mergeCell ref="G53:H53"/>
    <mergeCell ref="D56:F56"/>
    <mergeCell ref="A1:L1"/>
    <mergeCell ref="K14:L14"/>
    <mergeCell ref="A8:C8"/>
    <mergeCell ref="A9:C9"/>
    <mergeCell ref="A10:C10"/>
    <mergeCell ref="A11:C11"/>
    <mergeCell ref="K8:L8"/>
    <mergeCell ref="F8:J8"/>
    <mergeCell ref="K9:L9"/>
    <mergeCell ref="K10:L10"/>
    <mergeCell ref="B57:C57"/>
    <mergeCell ref="A43:C43"/>
    <mergeCell ref="A44:C44"/>
    <mergeCell ref="D43:G43"/>
    <mergeCell ref="G60:H60"/>
    <mergeCell ref="D57:F57"/>
    <mergeCell ref="B60:C60"/>
    <mergeCell ref="B56:C56"/>
    <mergeCell ref="K11:L11"/>
    <mergeCell ref="H15:I20"/>
    <mergeCell ref="F9:J9"/>
    <mergeCell ref="F10:J10"/>
    <mergeCell ref="F11:J11"/>
    <mergeCell ref="C15:G15"/>
  </mergeCells>
  <phoneticPr fontId="1"/>
  <dataValidations count="1">
    <dataValidation type="list" showInputMessage="1" showErrorMessage="1" sqref="E45">
      <formula1>$E$64:$E$69</formula1>
    </dataValidation>
  </dataValidations>
  <printOptions horizontalCentered="1" verticalCentered="1"/>
  <pageMargins left="0.78740157480314965" right="0.78740157480314965" top="0.78740157480314965" bottom="0.39370078740157483" header="0" footer="0.27559055118110237"/>
  <pageSetup paperSize="9" scale="97" orientation="portrait" blackAndWhite="1" horizontalDpi="300" verticalDpi="300" r:id="rId1"/>
  <headerFooter alignWithMargins="0">
    <oddHeader>&amp;L
&amp;"ＭＳ ゴシック,標準"&amp;10ﾃｽﾄﾊﾝﾏｰ強度試験成績表（記載例）</oddHeader>
    <oddFooter>&amp;L&amp;D&amp;C&amp;"Century,標準"3&amp;"ＭＳ Ｐゴシック,標準"－&amp;"Century,標準"43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成績書</vt:lpstr>
      <vt:lpstr>成績書!Print_Area</vt:lpstr>
      <vt:lpstr>係数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2020-03-12T04:21:42Z</dcterms:modified>
  <cp:category/>
</cp:coreProperties>
</file>